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mc:AlternateContent xmlns:mc="http://schemas.openxmlformats.org/markup-compatibility/2006">
    <mc:Choice Requires="x15">
      <x15ac:absPath xmlns:x15ac="http://schemas.microsoft.com/office/spreadsheetml/2010/11/ac" url="https://usaskca1-my.sharepoint.com/personal/anb639_usask_ca/Documents/New Zealand/"/>
    </mc:Choice>
  </mc:AlternateContent>
  <xr:revisionPtr revIDLastSave="1384" documentId="11_E60897F41BE170836B02CE998F75CCDC64E183C8" xr6:coauthVersionLast="47" xr6:coauthVersionMax="47" xr10:uidLastSave="{2757A253-05B8-422D-B0FA-86AFB001076A}"/>
  <bookViews>
    <workbookView xWindow="980" yWindow="460" windowWidth="23840" windowHeight="14380" firstSheet="1" xr2:uid="{00000000-000D-0000-FFFF-FFFF00000000}"/>
  </bookViews>
  <sheets>
    <sheet name="Sheet1" sheetId="1" r:id="rId1"/>
    <sheet name="Site Summar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B14" i="2" l="1" a="1"/>
  <c r="B14" i="2"/>
  <c r="B15" i="2" a="1"/>
  <c r="B15" i="2"/>
  <c r="B13" i="2"/>
  <c r="B4" i="2"/>
  <c r="B9" i="2"/>
  <c r="J8" i="2" a="1"/>
  <c r="J8" i="2"/>
  <c r="B12" i="2"/>
  <c r="B10" i="2"/>
  <c r="B11" i="2"/>
  <c r="B8" i="2"/>
  <c r="J11" i="2" s="1"/>
  <c r="B7" i="2"/>
  <c r="J3" i="2" s="1"/>
  <c r="B5" i="2"/>
  <c r="D3" i="1"/>
  <c r="E3" i="1" s="1"/>
  <c r="G3" i="1" s="1"/>
  <c r="D4" i="1"/>
  <c r="E4" i="1" s="1"/>
  <c r="D2" i="1"/>
  <c r="E2" i="1" s="1"/>
  <c r="G2" i="1" s="1"/>
  <c r="J10" i="2" l="1"/>
  <c r="B6" i="2"/>
  <c r="G4" i="1"/>
  <c r="G5" i="1" s="1"/>
  <c r="B3" i="2" s="1"/>
  <c r="J2" i="2" s="1"/>
  <c r="E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tc={8A2D0EF8-8C0D-42E8-86E9-78B1A37BD2F4}</author>
  </authors>
  <commentList>
    <comment ref="C1" authorId="0" shapeId="0" xr:uid="{8A2D0EF8-8C0D-42E8-86E9-78B1A37BD2F4}">
      <text>
        <t>[Threaded comment]
Your version of Excel allows you to read this threaded comment; however, any edits to it will get removed if the file is opened in a newer version of Excel. Learn more: https://go.microsoft.com/fwlink/?linkid=870924
Comment:
    Area must be input or no results will not include ecosystem type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<sst xmlns="http://schemas.openxmlformats.org/spreadsheetml/2006/main" count="91" uniqueCount="80">
  <si>
    <t>Type of Wetland</t>
  </si>
  <si>
    <t>Carbon Accumulation Rate (Bulmer et al., 2024)</t>
  </si>
  <si>
    <t>Area (ha)</t>
  </si>
  <si>
    <t>tC/yr</t>
  </si>
  <si>
    <t>tCO2/yr</t>
  </si>
  <si>
    <t>Price of Carbon</t>
  </si>
  <si>
    <t xml:space="preserve">NZ$/yr </t>
  </si>
  <si>
    <t>Saltmarsh</t>
  </si>
  <si>
    <t>Mangrove</t>
  </si>
  <si>
    <t>Seagrass</t>
  </si>
  <si>
    <t xml:space="preserve">Total: </t>
  </si>
  <si>
    <t xml:space="preserve">Additionallity: Does this project lead to conservation or restoration that would not happen otherwise? </t>
  </si>
  <si>
    <t>Yes</t>
  </si>
  <si>
    <t>No</t>
  </si>
  <si>
    <t xml:space="preserve">Notes: </t>
  </si>
  <si>
    <t xml:space="preserve">Mangrove </t>
  </si>
  <si>
    <t xml:space="preserve">- Mangroves in area are tall 
- Small patches of salt marsh along fringes
- Australian magpie, Tui, Song Thrush, Australasian Swamphen, Fantail, Silvereye, House Sparrow
</t>
  </si>
  <si>
    <t>Are mangroves encroaching on the following?</t>
  </si>
  <si>
    <t xml:space="preserve">- Less birds in area with significant industrial noise 
- No public beaches in area
- Significant public trail use </t>
  </si>
  <si>
    <t>- Mudflats in Inlet
- A few large parks with moderate tree cover 
- Ball diamond</t>
  </si>
  <si>
    <t>Land Use</t>
  </si>
  <si>
    <t xml:space="preserve">Upstream agricultural or industrial land? </t>
  </si>
  <si>
    <t>Future public work through area?</t>
  </si>
  <si>
    <t xml:space="preserve">Existing grey infastructure such as tidal barriers? </t>
  </si>
  <si>
    <t xml:space="preserve">Coastal Climate Risk </t>
  </si>
  <si>
    <t>Coastal Risk Present</t>
  </si>
  <si>
    <t>Coastal Erosion</t>
  </si>
  <si>
    <t xml:space="preserve">Catchment Flooding </t>
  </si>
  <si>
    <t>Coastal Inundation</t>
  </si>
  <si>
    <t>Biodiversity and Habitat</t>
  </si>
  <si>
    <t>Does the area currently provide wading bird habitat? (Mudflats)</t>
  </si>
  <si>
    <t xml:space="preserve">Is this area fragmented or part of a natural corridor? </t>
  </si>
  <si>
    <t>Fragmented Area</t>
  </si>
  <si>
    <t xml:space="preserve">Are there non-wetland natural or green spaces within the study area? </t>
  </si>
  <si>
    <t>Within a 1km radius</t>
  </si>
  <si>
    <t>Type of natural or green space (Short Answer):</t>
  </si>
  <si>
    <t xml:space="preserve">Forest, public parks, volcanic hill </t>
  </si>
  <si>
    <t>Community Impacts</t>
  </si>
  <si>
    <t>Community Name</t>
  </si>
  <si>
    <t xml:space="preserve">Māngere-Ōtāhuhu </t>
  </si>
  <si>
    <t>History of community groups opposing similar projects?</t>
  </si>
  <si>
    <t>History of community groups supporting similar projects?</t>
  </si>
  <si>
    <t xml:space="preserve">Community median income </t>
  </si>
  <si>
    <t>% Home ownership</t>
  </si>
  <si>
    <t xml:space="preserve">Local economic Impact </t>
  </si>
  <si>
    <t xml:space="preserve">Do individuals or groups rely on the projected area for income? </t>
  </si>
  <si>
    <t>Will restoration enhance economic opoprtunities for the community?</t>
  </si>
  <si>
    <t xml:space="preserve">Will restoration reduce economic opportunites for the community? </t>
  </si>
  <si>
    <t>Economic Activity</t>
  </si>
  <si>
    <t>Increase</t>
  </si>
  <si>
    <t>Decrease</t>
  </si>
  <si>
    <t>N/A</t>
  </si>
  <si>
    <t>Public beaches</t>
  </si>
  <si>
    <t>Public walking trails</t>
  </si>
  <si>
    <t>Public boat launch access</t>
  </si>
  <si>
    <t>Construction/Management jobs</t>
  </si>
  <si>
    <t>Ecotourism</t>
  </si>
  <si>
    <t>Fisheries</t>
  </si>
  <si>
    <t>Water-based recreation</t>
  </si>
  <si>
    <t>Project Summary</t>
  </si>
  <si>
    <t>Further exploration of trade-offs</t>
  </si>
  <si>
    <t>Cultural Context:</t>
  </si>
  <si>
    <t xml:space="preserve">When any conservation or restoration project is being considered it is essential to work together with the iwi who hold a connection to the land. This assesment tool cannot capture the cultural importance of the land so it is essential to engage with the iwi in the area. Existing partnership on coastal management are outlined in the relavent shoreline adaptation plan for the target area. Each plan outlines existing partnerships and may mention relavent iwi planning doccuments that must be taken into account as specified in the Resource Management Act. </t>
  </si>
  <si>
    <t>Blue Carbon:</t>
  </si>
  <si>
    <t xml:space="preserve">Estimated Blue Carbon ($NZ/yr): </t>
  </si>
  <si>
    <t xml:space="preserve">Climate Risk: </t>
  </si>
  <si>
    <t xml:space="preserve">Additionallity for: </t>
  </si>
  <si>
    <t xml:space="preserve">Encroachment: </t>
  </si>
  <si>
    <t>Coastal Risk:</t>
  </si>
  <si>
    <t>Biodiversity and Habitat:</t>
  </si>
  <si>
    <t>Impacts on local community:</t>
  </si>
  <si>
    <t xml:space="preserve">Land use: </t>
  </si>
  <si>
    <t xml:space="preserve">Median Income: </t>
  </si>
  <si>
    <t>Equity Consideration:</t>
  </si>
  <si>
    <t xml:space="preserve">Percent Homeownership: </t>
  </si>
  <si>
    <t xml:space="preserve">Habitat: </t>
  </si>
  <si>
    <t>Comunity impacts:</t>
  </si>
  <si>
    <t>Local economic impacts:</t>
  </si>
  <si>
    <t>Potential to improve:</t>
  </si>
  <si>
    <t>Potential to decrease: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</si>
</sst>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5">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rgb="FFF5FC90"/>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44" fontId="2" fillId="0" borderId="0" applyFont="0" applyFill="0" applyBorder="0" applyAlignment="0" applyProtection="0"/>
  </cellStyleXfs>
  <cellXfs count="68">
    <xf numFmtId="0" fontId="0" fillId="0" borderId="0" xfId="0"/>
    <xf numFmtId="0" fontId="0" fillId="3" borderId="1" xfId="0" applyFill="1" applyBorder="1"/>
    <xf numFmtId="0" fontId="0" fillId="0" borderId="1" xfId="0" applyBorder="1"/>
    <xf numFmtId="0" fontId="0" fillId="2" borderId="1" xfId="0" applyFill="1" applyBorder="1"/>
    <xf numFmtId="0" fontId="0" fillId="3" borderId="2" xfId="0" applyFill="1" applyBorder="1"/>
    <xf numFmtId="0" fontId="0" fillId="3" borderId="1" xfId="0" applyFill="1" applyBorder="1" applyAlignment="1">
      <alignment horizontal="center"/>
    </xf>
    <xf numFmtId="0" fontId="1" fillId="3" borderId="1" xfId="0" applyFont="1" applyFill="1" applyBorder="1"/>
    <xf numFmtId="44" fontId="0" fillId="2" borderId="1" xfId="1" applyFont="1" applyFill="1" applyBorder="1"/>
    <xf numFmtId="44" fontId="0" fillId="0" borderId="0" xfId="0" applyNumberFormat="1"/>
    <xf numFmtId="0" fontId="0" fillId="4" borderId="2" xfId="0" applyFill="1" applyBorder="1">
      <extLst>
        <ext xmlns:xfpb="http://schemas.microsoft.com/office/spreadsheetml/2022/featurepropertybag" uri="{C7286773-470A-42A8-94C5-96B5CB345126}">
          <xfpb:xfComplement i="0"/>
        </ext>
      </extLst>
    </xf>
    <xf numFmtId="0" fontId="0" fillId="4" borderId="1" xfId="0" applyFill="1" applyBorder="1">
      <extLst>
        <ext xmlns:xfpb="http://schemas.microsoft.com/office/spreadsheetml/2022/featurepropertybag" uri="{C7286773-470A-42A8-94C5-96B5CB345126}">
          <xfpb:xfComplement i="0"/>
        </ext>
      </extLst>
    </xf>
    <xf numFmtId="0" fontId="0" fillId="4" borderId="1" xfId="0" applyFill="1" applyBorder="1"/>
    <xf numFmtId="0" fontId="0" fillId="0" borderId="0" xfId="0" applyAlignment="1">
      <alignment wrapText="1"/>
    </xf>
    <xf numFmtId="0" fontId="1" fillId="4" borderId="1" xfId="0" applyFont="1" applyFill="1" applyBorder="1" applyAlignment="1">
      <alignment horizontal="center"/>
    </xf>
    <xf numFmtId="0" fontId="0" fillId="4" borderId="5" xfId="0" applyFill="1" applyBorder="1">
      <extLst>
        <ext xmlns:xfpb="http://schemas.microsoft.com/office/spreadsheetml/2022/featurepropertybag" uri="{C7286773-470A-42A8-94C5-96B5CB345126}">
          <xfpb:xfComplement i="0"/>
        </ext>
      </extLst>
    </xf>
    <xf numFmtId="164" fontId="0" fillId="4" borderId="1" xfId="0" applyNumberFormat="1" applyFill="1" applyBorder="1"/>
    <xf numFmtId="10" fontId="0" fillId="4" borderId="6" xfId="0" applyNumberFormat="1" applyFill="1" applyBorder="1"/>
    <xf numFmtId="0" fontId="0" fillId="4" borderId="5" xfId="0" applyFill="1" applyBorder="1"/>
    <xf numFmtId="0" fontId="0" fillId="2" borderId="1" xfId="0" applyFill="1" applyBorder="1" applyAlignment="1">
      <alignment horizontal="left" vertical="center" wrapText="1"/>
    </xf>
    <xf numFmtId="0" fontId="0" fillId="2" borderId="1" xfId="0" applyFill="1"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4" fillId="2" borderId="1" xfId="0" applyFont="1" applyFill="1" applyBorder="1" applyAlignment="1">
      <alignment horizontal="left" vertical="center"/>
    </xf>
    <xf numFmtId="0" fontId="0" fillId="3" borderId="0" xfId="0" applyFill="1" applyAlignment="1">
      <alignment horizont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0" fillId="2" borderId="1" xfId="0" applyFill="1" applyBorder="1" applyAlignment="1">
      <alignment horizontal="center" vertical="center"/>
    </xf>
    <xf numFmtId="0" fontId="1" fillId="3" borderId="1" xfId="0" applyFont="1" applyFill="1" applyBorder="1" applyAlignment="1">
      <alignment horizontal="center"/>
    </xf>
    <xf numFmtId="0" fontId="3" fillId="3" borderId="1" xfId="0" applyFont="1" applyFill="1" applyBorder="1" applyAlignment="1">
      <alignment horizontal="center"/>
    </xf>
    <xf numFmtId="0" fontId="0" fillId="2" borderId="1" xfId="0" applyFill="1" applyBorder="1" applyAlignment="1">
      <alignment horizontal="left" vertical="center" wrapText="1"/>
    </xf>
    <xf numFmtId="44" fontId="0" fillId="0" borderId="1" xfId="0" applyNumberFormat="1" applyBorder="1" applyAlignment="1">
      <alignment horizontal="center" vertical="center"/>
    </xf>
    <xf numFmtId="0" fontId="0" fillId="2" borderId="1" xfId="0" applyFill="1" applyBorder="1" applyAlignment="1">
      <alignment horizontal="center" vertical="center" wrapText="1"/>
    </xf>
    <xf numFmtId="0" fontId="4" fillId="5" borderId="2" xfId="0" applyFont="1" applyFill="1" applyBorder="1" applyAlignment="1">
      <alignment horizontal="left" wrapText="1"/>
    </xf>
    <xf numFmtId="0" fontId="4" fillId="5" borderId="4" xfId="0" applyFont="1" applyFill="1" applyBorder="1" applyAlignment="1">
      <alignment horizontal="left" wrapText="1"/>
    </xf>
    <xf numFmtId="0" fontId="4" fillId="5" borderId="3" xfId="0" applyFont="1" applyFill="1" applyBorder="1" applyAlignment="1">
      <alignment horizontal="left" wrapText="1"/>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2" borderId="1" xfId="0" applyFill="1" applyBorder="1" applyAlignment="1">
      <alignment vertical="center" wrapText="1"/>
    </xf>
    <xf numFmtId="0" fontId="0" fillId="4" borderId="1" xfId="0" applyFill="1" applyBorder="1" applyAlignment="1">
      <alignment horizontal="center"/>
      <extLst>
        <ext xmlns:xfpb="http://schemas.microsoft.com/office/spreadsheetml/2022/featurepropertybag" uri="{C7286773-470A-42A8-94C5-96B5CB345126}">
          <xfpb:xfComplement i="0"/>
        </ext>
      </extLst>
    </xf>
    <xf numFmtId="0" fontId="0" fillId="0" borderId="1" xfId="0" applyBorder="1" applyAlignment="1">
      <alignment horizontal="center"/>
    </xf>
    <xf numFmtId="0" fontId="0" fillId="2" borderId="1" xfId="0" applyFill="1" applyBorder="1" applyAlignment="1">
      <alignment horizontal="left" wrapText="1"/>
    </xf>
    <xf numFmtId="0" fontId="0" fillId="4" borderId="1" xfId="0" applyFill="1" applyBorder="1" applyAlignment="1">
      <alignment horizontal="left" vertical="center"/>
    </xf>
    <xf numFmtId="0" fontId="0" fillId="2" borderId="1" xfId="0" applyFill="1" applyBorder="1" applyAlignment="1">
      <alignment horizontal="left"/>
    </xf>
    <xf numFmtId="0" fontId="0" fillId="3" borderId="1" xfId="0" applyFill="1" applyBorder="1" applyAlignment="1">
      <alignment horizontal="center"/>
    </xf>
    <xf numFmtId="0" fontId="0" fillId="3" borderId="2" xfId="0" applyFill="1" applyBorder="1" applyAlignment="1">
      <alignment horizontal="center"/>
    </xf>
    <xf numFmtId="0" fontId="0" fillId="3" borderId="4" xfId="0" applyFill="1" applyBorder="1" applyAlignment="1">
      <alignment horizontal="center"/>
    </xf>
    <xf numFmtId="0" fontId="1" fillId="3" borderId="5" xfId="0" applyFont="1" applyFill="1" applyBorder="1" applyAlignment="1">
      <alignment horizontal="center"/>
    </xf>
    <xf numFmtId="0" fontId="0" fillId="0" borderId="1" xfId="0" applyBorder="1" applyAlignment="1">
      <alignment vertical="center" wrapText="1"/>
    </xf>
    <xf numFmtId="44" fontId="0" fillId="0" borderId="1" xfId="0" applyNumberFormat="1" applyBorder="1"/>
    <xf numFmtId="0" fontId="0" fillId="2" borderId="5" xfId="0" applyFill="1" applyBorder="1"/>
    <xf numFmtId="44" fontId="0" fillId="2" borderId="5" xfId="1" applyFont="1" applyFill="1" applyBorder="1"/>
    <xf numFmtId="0" fontId="0" fillId="0" borderId="1" xfId="0" quotePrefix="1" applyBorder="1" applyAlignment="1">
      <alignment horizontal="left" wrapText="1"/>
    </xf>
    <xf numFmtId="0" fontId="0" fillId="0" borderId="1" xfId="0" applyBorder="1" applyAlignment="1">
      <alignment horizontal="left"/>
    </xf>
    <xf numFmtId="0" fontId="0" fillId="0" borderId="1" xfId="0" quotePrefix="1" applyBorder="1" applyAlignment="1">
      <alignment horizontal="left" vertical="center" wrapText="1"/>
    </xf>
    <xf numFmtId="0" fontId="0" fillId="0" borderId="1" xfId="0" applyBorder="1" applyAlignment="1">
      <alignment horizontal="left" vertical="center"/>
    </xf>
    <xf numFmtId="0" fontId="0" fillId="0" borderId="1" xfId="0" quotePrefix="1" applyBorder="1" applyAlignment="1">
      <alignment horizontal="left" vertical="top" wrapText="1"/>
    </xf>
    <xf numFmtId="0" fontId="0" fillId="0" borderId="1" xfId="0" applyBorder="1" applyAlignment="1">
      <alignment horizontal="left" vertical="top"/>
    </xf>
    <xf numFmtId="0" fontId="1" fillId="0" borderId="0" xfId="0" applyFont="1" applyFill="1" applyAlignment="1">
      <alignment horizontal="center"/>
    </xf>
    <xf numFmtId="0" fontId="0" fillId="0" borderId="0" xfId="0" applyFill="1"/>
    <xf numFmtId="0" fontId="0" fillId="2" borderId="2" xfId="0" applyFill="1" applyBorder="1" applyAlignment="1"/>
    <xf numFmtId="0" fontId="0" fillId="2" borderId="3" xfId="0" applyFill="1" applyBorder="1" applyAlignment="1"/>
  </cellXfs>
  <cellStyles count="2">
    <cellStyle name="Currency" xfId="1" builtinId="4"/>
    <cellStyle name="Normal" xfId="0" builtinId="0"/>
  </cellStyles>
  <dxfs count="0"/>
  <tableStyles count="0" defaultTableStyle="TableStyleMedium2" defaultPivotStyle="PivotStyleMedium9"/>
  <colors>
    <mruColors>
      <color rgb="FFF5FC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Batycki, Andrew" id="{5D2EA65C-4D94-4740-A520-C0E53D7D9A5F}" userId="S::anb639@usask.ca::7f1455f5-bc38-4246-9e39-fa46f9d713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 dT="2026-06-26T01:03:16.90" personId="{5D2EA65C-4D94-4740-A520-C0E53D7D9A5F}" id="{8A2D0EF8-8C0D-42E8-86E9-78B1A37BD2F4}">
    <text>Area must be input or no results will not include ecosystem type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1"/>
  <sheetViews>
    <sheetView tabSelected="1" workbookViewId="0">
      <selection activeCell="L8" sqref="L8:P28"/>
    </sheetView>
  </sheetViews>
  <sheetFormatPr defaultColWidth="8.85546875" defaultRowHeight="15"/>
  <cols>
    <col min="1" max="1" width="31" customWidth="1"/>
    <col min="2" max="2" width="43.42578125" customWidth="1"/>
    <col min="3" max="3" width="30.140625" customWidth="1"/>
    <col min="6" max="6" width="18.7109375" customWidth="1"/>
    <col min="7" max="7" width="15" customWidth="1"/>
    <col min="9" max="9" width="14.42578125" customWidth="1"/>
  </cols>
  <sheetData>
    <row r="1" spans="1:16">
      <c r="A1" s="1" t="s">
        <v>0</v>
      </c>
      <c r="B1" s="1" t="s">
        <v>1</v>
      </c>
      <c r="C1" s="6" t="s">
        <v>2</v>
      </c>
      <c r="D1" s="1" t="s">
        <v>3</v>
      </c>
      <c r="E1" s="1" t="s">
        <v>4</v>
      </c>
      <c r="F1" s="1" t="s">
        <v>5</v>
      </c>
      <c r="G1" s="1" t="s">
        <v>6</v>
      </c>
    </row>
    <row r="2" spans="1:16">
      <c r="A2" s="3" t="s">
        <v>7</v>
      </c>
      <c r="B2" s="3">
        <v>0.89</v>
      </c>
      <c r="C2" s="11">
        <v>0</v>
      </c>
      <c r="D2" s="3">
        <f>C2*B2</f>
        <v>0</v>
      </c>
      <c r="E2" s="3">
        <f>D2*3.67</f>
        <v>0</v>
      </c>
      <c r="F2" s="11">
        <v>71</v>
      </c>
      <c r="G2" s="7">
        <f>E2*F2</f>
        <v>0</v>
      </c>
    </row>
    <row r="3" spans="1:16">
      <c r="A3" s="3" t="s">
        <v>8</v>
      </c>
      <c r="B3" s="3">
        <v>0.64</v>
      </c>
      <c r="C3" s="11">
        <v>193.4</v>
      </c>
      <c r="D3" s="3">
        <f t="shared" ref="D3:D4" si="0">C3*B3</f>
        <v>123.77600000000001</v>
      </c>
      <c r="E3" s="3">
        <f t="shared" ref="E3:E4" si="1">D3*3.67</f>
        <v>454.25792000000001</v>
      </c>
      <c r="F3" s="11">
        <v>71</v>
      </c>
      <c r="G3" s="7">
        <f t="shared" ref="G3:G4" si="2">E3*F3</f>
        <v>32252.312320000001</v>
      </c>
    </row>
    <row r="4" spans="1:16">
      <c r="A4" s="3" t="s">
        <v>9</v>
      </c>
      <c r="B4" s="3">
        <v>0.32</v>
      </c>
      <c r="C4" s="11">
        <v>0</v>
      </c>
      <c r="D4" s="56">
        <f t="shared" si="0"/>
        <v>0</v>
      </c>
      <c r="E4" s="56">
        <f t="shared" si="1"/>
        <v>0</v>
      </c>
      <c r="F4" s="17">
        <v>71</v>
      </c>
      <c r="G4" s="57">
        <f t="shared" si="2"/>
        <v>0</v>
      </c>
    </row>
    <row r="5" spans="1:16">
      <c r="D5" s="2" t="s">
        <v>10</v>
      </c>
      <c r="E5" s="2">
        <f>SUM(E2:E4)</f>
        <v>454.25792000000001</v>
      </c>
      <c r="F5" s="2" t="s">
        <v>10</v>
      </c>
      <c r="G5" s="55">
        <f>SUM(G2:G4)</f>
        <v>32252.312320000001</v>
      </c>
      <c r="I5" s="8"/>
    </row>
    <row r="6" spans="1:16">
      <c r="A6" s="1" t="s">
        <v>11</v>
      </c>
      <c r="B6" s="4"/>
      <c r="C6" s="1"/>
    </row>
    <row r="7" spans="1:16">
      <c r="A7" s="1"/>
      <c r="B7" s="4" t="s">
        <v>12</v>
      </c>
      <c r="C7" s="1" t="s">
        <v>13</v>
      </c>
    </row>
    <row r="8" spans="1:16">
      <c r="A8" s="3" t="s">
        <v>7</v>
      </c>
      <c r="B8" s="9" t="b">
        <v>0</v>
      </c>
      <c r="C8" s="10" t="b">
        <v>1</v>
      </c>
      <c r="L8" s="23" t="s">
        <v>14</v>
      </c>
      <c r="M8" s="23"/>
      <c r="N8" s="23"/>
      <c r="O8" s="23"/>
      <c r="P8" s="23"/>
    </row>
    <row r="9" spans="1:16">
      <c r="A9" s="3" t="s">
        <v>15</v>
      </c>
      <c r="B9" s="9" t="b">
        <v>0</v>
      </c>
      <c r="C9" s="10" t="b">
        <v>1</v>
      </c>
      <c r="L9" s="62" t="s">
        <v>16</v>
      </c>
      <c r="M9" s="63"/>
      <c r="N9" s="63"/>
      <c r="O9" s="63"/>
      <c r="P9" s="63"/>
    </row>
    <row r="10" spans="1:16">
      <c r="A10" s="3" t="s">
        <v>9</v>
      </c>
      <c r="B10" s="9" t="b">
        <v>0</v>
      </c>
      <c r="C10" s="10" t="b">
        <v>1</v>
      </c>
      <c r="L10" s="63"/>
      <c r="M10" s="63"/>
      <c r="N10" s="63"/>
      <c r="O10" s="63"/>
      <c r="P10" s="63"/>
    </row>
    <row r="11" spans="1:16">
      <c r="L11" s="63"/>
      <c r="M11" s="63"/>
      <c r="N11" s="63"/>
      <c r="O11" s="63"/>
      <c r="P11" s="63"/>
    </row>
    <row r="12" spans="1:16">
      <c r="L12" s="63"/>
      <c r="M12" s="63"/>
      <c r="N12" s="63"/>
      <c r="O12" s="63"/>
      <c r="P12" s="63"/>
    </row>
    <row r="13" spans="1:16">
      <c r="A13" s="51" t="s">
        <v>17</v>
      </c>
      <c r="B13" s="52"/>
      <c r="C13" s="52"/>
      <c r="L13" s="60" t="s">
        <v>18</v>
      </c>
      <c r="M13" s="61"/>
      <c r="N13" s="61"/>
      <c r="O13" s="61"/>
      <c r="P13" s="61"/>
    </row>
    <row r="14" spans="1:16">
      <c r="A14" s="5"/>
      <c r="B14" s="1" t="s">
        <v>12</v>
      </c>
      <c r="C14" s="4" t="s">
        <v>13</v>
      </c>
      <c r="L14" s="61"/>
      <c r="M14" s="61"/>
      <c r="N14" s="61"/>
      <c r="O14" s="61"/>
      <c r="P14" s="61"/>
    </row>
    <row r="15" spans="1:16">
      <c r="A15" s="3" t="s">
        <v>7</v>
      </c>
      <c r="B15" s="10" t="b">
        <v>1</v>
      </c>
      <c r="C15" s="9" t="b">
        <v>0</v>
      </c>
      <c r="L15" s="61"/>
      <c r="M15" s="61"/>
      <c r="N15" s="61"/>
      <c r="O15" s="61"/>
      <c r="P15" s="61"/>
    </row>
    <row r="16" spans="1:16">
      <c r="A16" s="3" t="s">
        <v>9</v>
      </c>
      <c r="B16" s="10" t="b">
        <v>0</v>
      </c>
      <c r="C16" s="9" t="b">
        <v>1</v>
      </c>
      <c r="L16" s="61"/>
      <c r="M16" s="61"/>
      <c r="N16" s="61"/>
      <c r="O16" s="61"/>
      <c r="P16" s="61"/>
    </row>
    <row r="17" spans="1:16">
      <c r="L17" s="58" t="s">
        <v>19</v>
      </c>
      <c r="M17" s="59"/>
      <c r="N17" s="59"/>
      <c r="O17" s="59"/>
      <c r="P17" s="59"/>
    </row>
    <row r="18" spans="1:16">
      <c r="L18" s="59"/>
      <c r="M18" s="59"/>
      <c r="N18" s="59"/>
      <c r="O18" s="59"/>
      <c r="P18" s="59"/>
    </row>
    <row r="19" spans="1:16">
      <c r="A19" s="50" t="s">
        <v>20</v>
      </c>
      <c r="B19" s="50"/>
      <c r="C19" s="50"/>
      <c r="L19" s="59"/>
      <c r="M19" s="59"/>
      <c r="N19" s="59"/>
      <c r="O19" s="59"/>
      <c r="P19" s="59"/>
    </row>
    <row r="20" spans="1:16">
      <c r="A20" s="66" t="s">
        <v>21</v>
      </c>
      <c r="B20" s="67"/>
      <c r="C20" s="10" t="b">
        <v>1</v>
      </c>
      <c r="L20" s="59"/>
      <c r="M20" s="59"/>
      <c r="N20" s="59"/>
      <c r="O20" s="59"/>
      <c r="P20" s="59"/>
    </row>
    <row r="21" spans="1:16">
      <c r="A21" s="66" t="s">
        <v>22</v>
      </c>
      <c r="B21" s="67"/>
      <c r="C21" s="10" t="b">
        <v>0</v>
      </c>
      <c r="L21" s="46"/>
      <c r="M21" s="46"/>
      <c r="N21" s="46"/>
      <c r="O21" s="46"/>
      <c r="P21" s="46"/>
    </row>
    <row r="22" spans="1:16">
      <c r="A22" s="44" t="s">
        <v>23</v>
      </c>
      <c r="B22" s="44"/>
      <c r="C22" s="45" t="b">
        <v>0</v>
      </c>
      <c r="L22" s="46"/>
      <c r="M22" s="46"/>
      <c r="N22" s="46"/>
      <c r="O22" s="46"/>
      <c r="P22" s="46"/>
    </row>
    <row r="23" spans="1:16">
      <c r="A23" s="44"/>
      <c r="B23" s="44"/>
      <c r="C23" s="45"/>
      <c r="L23" s="46"/>
      <c r="M23" s="46"/>
      <c r="N23" s="46"/>
      <c r="O23" s="46"/>
      <c r="P23" s="46"/>
    </row>
    <row r="24" spans="1:16">
      <c r="L24" s="46"/>
      <c r="M24" s="46"/>
      <c r="N24" s="46"/>
      <c r="O24" s="46"/>
      <c r="P24" s="46"/>
    </row>
    <row r="25" spans="1:16">
      <c r="A25" s="50" t="s">
        <v>24</v>
      </c>
      <c r="B25" s="50"/>
      <c r="C25" s="50"/>
      <c r="L25" s="46"/>
      <c r="M25" s="46"/>
      <c r="N25" s="46"/>
      <c r="O25" s="46"/>
      <c r="P25" s="46"/>
    </row>
    <row r="26" spans="1:16">
      <c r="A26" s="3"/>
      <c r="B26" s="3" t="s">
        <v>25</v>
      </c>
      <c r="C26" s="2"/>
      <c r="L26" s="46"/>
      <c r="M26" s="46"/>
      <c r="N26" s="46"/>
      <c r="O26" s="46"/>
      <c r="P26" s="46"/>
    </row>
    <row r="27" spans="1:16">
      <c r="A27" s="3" t="s">
        <v>26</v>
      </c>
      <c r="B27" s="10" t="b">
        <v>0</v>
      </c>
      <c r="C27" s="2"/>
      <c r="L27" s="46"/>
      <c r="M27" s="46"/>
      <c r="N27" s="46"/>
      <c r="O27" s="46"/>
      <c r="P27" s="46"/>
    </row>
    <row r="28" spans="1:16" ht="24" customHeight="1">
      <c r="A28" s="3" t="s">
        <v>27</v>
      </c>
      <c r="B28" s="10" t="b">
        <v>1</v>
      </c>
      <c r="C28" s="2"/>
      <c r="L28" s="46"/>
      <c r="M28" s="46"/>
      <c r="N28" s="46"/>
      <c r="O28" s="46"/>
      <c r="P28" s="46"/>
    </row>
    <row r="29" spans="1:16">
      <c r="A29" s="3" t="s">
        <v>28</v>
      </c>
      <c r="B29" s="10" t="b">
        <v>1</v>
      </c>
      <c r="C29" s="2"/>
    </row>
    <row r="31" spans="1:16">
      <c r="A31" s="6" t="s">
        <v>29</v>
      </c>
      <c r="B31" s="6"/>
      <c r="C31" s="6"/>
    </row>
    <row r="32" spans="1:16">
      <c r="A32" s="3" t="s">
        <v>30</v>
      </c>
      <c r="B32" s="3"/>
      <c r="C32" s="10" t="s">
        <v>12</v>
      </c>
    </row>
    <row r="33" spans="1:3">
      <c r="A33" s="3" t="s">
        <v>31</v>
      </c>
      <c r="B33" s="3"/>
      <c r="C33" s="11" t="s">
        <v>32</v>
      </c>
    </row>
    <row r="34" spans="1:3" ht="15" customHeight="1">
      <c r="A34" s="47" t="s">
        <v>33</v>
      </c>
      <c r="B34" s="47"/>
      <c r="C34" s="48" t="s">
        <v>34</v>
      </c>
    </row>
    <row r="35" spans="1:3">
      <c r="A35" s="47"/>
      <c r="B35" s="47"/>
      <c r="C35" s="48"/>
    </row>
    <row r="36" spans="1:3">
      <c r="A36" s="49" t="s">
        <v>35</v>
      </c>
      <c r="B36" s="49"/>
      <c r="C36" s="11" t="s">
        <v>36</v>
      </c>
    </row>
    <row r="39" spans="1:3">
      <c r="A39" s="28" t="s">
        <v>37</v>
      </c>
      <c r="B39" s="28"/>
      <c r="C39" s="28"/>
    </row>
    <row r="40" spans="1:3">
      <c r="A40" s="42" t="s">
        <v>38</v>
      </c>
      <c r="B40" s="43"/>
      <c r="C40" s="13" t="s">
        <v>39</v>
      </c>
    </row>
    <row r="41" spans="1:3">
      <c r="A41" s="2" t="s">
        <v>40</v>
      </c>
      <c r="B41" s="2"/>
      <c r="C41" s="10" t="b">
        <v>0</v>
      </c>
    </row>
    <row r="42" spans="1:3">
      <c r="A42" s="2" t="s">
        <v>41</v>
      </c>
      <c r="B42" s="2"/>
      <c r="C42" s="14" t="b">
        <v>0</v>
      </c>
    </row>
    <row r="43" spans="1:3">
      <c r="A43" s="39" t="s">
        <v>42</v>
      </c>
      <c r="B43" s="40"/>
      <c r="C43" s="15">
        <v>34700</v>
      </c>
    </row>
    <row r="44" spans="1:3">
      <c r="A44" s="39" t="s">
        <v>43</v>
      </c>
      <c r="B44" s="41"/>
      <c r="C44" s="16">
        <v>0.40799999999999997</v>
      </c>
    </row>
    <row r="45" spans="1:3">
      <c r="A45" s="36" t="s">
        <v>44</v>
      </c>
      <c r="B45" s="37"/>
      <c r="C45" s="38"/>
    </row>
    <row r="46" spans="1:3">
      <c r="A46" s="2" t="s">
        <v>45</v>
      </c>
      <c r="B46" s="2"/>
      <c r="C46" s="2" t="s">
        <v>12</v>
      </c>
    </row>
    <row r="47" spans="1:3">
      <c r="A47" s="2" t="s">
        <v>46</v>
      </c>
      <c r="B47" s="2"/>
      <c r="C47" s="2" t="s">
        <v>13</v>
      </c>
    </row>
    <row r="48" spans="1:3">
      <c r="A48" s="2" t="s">
        <v>47</v>
      </c>
      <c r="B48" s="2"/>
      <c r="C48" s="2" t="s">
        <v>13</v>
      </c>
    </row>
    <row r="51" spans="1:4">
      <c r="A51" s="1" t="s">
        <v>48</v>
      </c>
      <c r="B51" s="1" t="s">
        <v>49</v>
      </c>
      <c r="C51" s="1" t="s">
        <v>50</v>
      </c>
      <c r="D51" s="1" t="s">
        <v>51</v>
      </c>
    </row>
    <row r="52" spans="1:4">
      <c r="A52" s="3" t="s">
        <v>52</v>
      </c>
      <c r="B52" s="10" t="b">
        <v>0</v>
      </c>
      <c r="C52" s="10" t="b">
        <v>0</v>
      </c>
      <c r="D52" s="10" t="b">
        <v>1</v>
      </c>
    </row>
    <row r="53" spans="1:4">
      <c r="A53" s="3" t="s">
        <v>53</v>
      </c>
      <c r="B53" s="10" t="b">
        <v>1</v>
      </c>
      <c r="C53" s="10" t="b">
        <v>0</v>
      </c>
      <c r="D53" s="10" t="b">
        <v>0</v>
      </c>
    </row>
    <row r="54" spans="1:4">
      <c r="A54" s="3" t="s">
        <v>54</v>
      </c>
      <c r="B54" s="10" t="b">
        <v>0</v>
      </c>
      <c r="C54" s="10" t="b">
        <v>1</v>
      </c>
      <c r="D54" s="10" t="b">
        <v>0</v>
      </c>
    </row>
    <row r="55" spans="1:4">
      <c r="A55" s="3" t="s">
        <v>55</v>
      </c>
      <c r="B55" s="10" t="b">
        <v>0</v>
      </c>
      <c r="C55" s="10" t="b">
        <v>0</v>
      </c>
      <c r="D55" s="10" t="b">
        <v>1</v>
      </c>
    </row>
    <row r="56" spans="1:4">
      <c r="A56" s="3" t="s">
        <v>56</v>
      </c>
      <c r="B56" s="10" t="b">
        <v>1</v>
      </c>
      <c r="C56" s="10" t="b">
        <v>0</v>
      </c>
      <c r="D56" s="10" t="b">
        <v>0</v>
      </c>
    </row>
    <row r="57" spans="1:4">
      <c r="A57" s="3" t="s">
        <v>57</v>
      </c>
      <c r="B57" s="10" t="b">
        <v>1</v>
      </c>
      <c r="C57" s="10" t="b">
        <v>1</v>
      </c>
      <c r="D57" s="10" t="b">
        <v>0</v>
      </c>
    </row>
    <row r="58" spans="1:4">
      <c r="A58" s="3" t="s">
        <v>58</v>
      </c>
      <c r="B58" s="10" t="b">
        <v>1</v>
      </c>
      <c r="C58" s="10" t="b">
        <v>1</v>
      </c>
      <c r="D58" s="10" t="b">
        <v>0</v>
      </c>
    </row>
    <row r="59" spans="1:4">
      <c r="A59" s="17"/>
      <c r="B59" s="14" t="b">
        <v>0</v>
      </c>
      <c r="C59" s="14" t="b">
        <v>0</v>
      </c>
      <c r="D59" s="14" t="b">
        <v>0</v>
      </c>
    </row>
    <row r="60" spans="1:4">
      <c r="A60" s="11"/>
      <c r="B60" s="10" t="b">
        <v>0</v>
      </c>
      <c r="C60" s="10" t="b">
        <v>0</v>
      </c>
      <c r="D60" s="10" t="b">
        <v>0</v>
      </c>
    </row>
    <row r="61" spans="1:4">
      <c r="A61" s="11"/>
      <c r="B61" s="10" t="b">
        <v>0</v>
      </c>
      <c r="C61" s="10" t="b">
        <v>0</v>
      </c>
      <c r="D61" s="10" t="b">
        <v>0</v>
      </c>
    </row>
  </sheetData>
  <sheetProtection sheet="1" objects="1" scenarios="1"/>
  <protectedRanges>
    <protectedRange sqref="C2:C4" name="Range1"/>
    <protectedRange sqref="B8:C10" name="Range2"/>
    <protectedRange sqref="B27:B29" name="Range3"/>
    <protectedRange sqref="F2:F4" name="Range4"/>
    <protectedRange sqref="C20:C21" name="Range5"/>
    <protectedRange sqref="B15:D16" name="Range6"/>
    <protectedRange sqref="C32:C36" name="Range7"/>
    <protectedRange sqref="C40:C44" name="Range8"/>
    <protectedRange sqref="C46:C48" name="Range9"/>
    <protectedRange sqref="B52:D61" name="Range10"/>
    <protectedRange sqref="A59:A61" name="Range11"/>
    <protectedRange sqref="C22" name="Range12"/>
    <protectedRange sqref="C22" name="Range13"/>
    <protectedRange sqref="C22:C23" name="Range14"/>
  </protectedRanges>
  <dataConsolidate/>
  <mergeCells count="20">
    <mergeCell ref="A13:C13"/>
    <mergeCell ref="L9:P12"/>
    <mergeCell ref="L13:P16"/>
    <mergeCell ref="L17:P20"/>
    <mergeCell ref="L21:P24"/>
    <mergeCell ref="A19:C19"/>
    <mergeCell ref="A20:B20"/>
    <mergeCell ref="A21:B21"/>
    <mergeCell ref="L25:P28"/>
    <mergeCell ref="A39:C39"/>
    <mergeCell ref="A34:B35"/>
    <mergeCell ref="C34:C35"/>
    <mergeCell ref="A36:B36"/>
    <mergeCell ref="A25:C25"/>
    <mergeCell ref="A45:C45"/>
    <mergeCell ref="A43:B43"/>
    <mergeCell ref="A44:B44"/>
    <mergeCell ref="A40:B40"/>
    <mergeCell ref="A22:B23"/>
    <mergeCell ref="C22:C23"/>
  </mergeCells>
  <dataValidations count="5">
    <dataValidation allowBlank="1" showInputMessage="1" showErrorMessage="1" sqref="B27:B29 C41:C42" xr:uid="{D46A03C0-9EE2-4AB5-8B14-67E50B379FDB}"/>
    <dataValidation type="list" allowBlank="1" showInputMessage="1" showErrorMessage="1" sqref="C33" xr:uid="{80B8BE1E-3F5C-4194-BC5D-6E20FAA86F55}">
      <formula1>"Fragmented Area, Natural Corridor"</formula1>
    </dataValidation>
    <dataValidation type="list" allowBlank="1" showInputMessage="1" showErrorMessage="1" sqref="C32" xr:uid="{8B43187D-B604-4EF8-B07A-9AFC05065397}">
      <formula1>"Yes, No"</formula1>
    </dataValidation>
    <dataValidation type="list" allowBlank="1" showInputMessage="1" showErrorMessage="1" sqref="C34:C35" xr:uid="{16719D8B-8C4D-4D72-845B-FCCEF0B52C41}">
      <formula1>"Within a 1km radius, Within a 5km radius, No"</formula1>
    </dataValidation>
    <dataValidation type="list" allowBlank="1" showInputMessage="1" showErrorMessage="1" sqref="C46:C48" xr:uid="{672872C6-8A2D-466B-9C80-420BBEFCBF13}">
      <formula1>"Yes,No"</formula1>
    </dataValidation>
  </dataValidations>
  <pageMargins left="0.7" right="0.7" top="0.75" bottom="0.75" header="0.3" footer="0.3"/>
  <pageSetup fitToHeight="0"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A72E8-C43A-1249-8512-E9048E9F5526}">
  <sheetPr>
    <pageSetUpPr fitToPage="1"/>
  </sheetPr>
  <dimension ref="A1:Z23"/>
  <sheetViews>
    <sheetView topLeftCell="C1" workbookViewId="0">
      <selection activeCell="I11" sqref="I1:S12"/>
    </sheetView>
  </sheetViews>
  <sheetFormatPr defaultColWidth="11.42578125" defaultRowHeight="15"/>
  <cols>
    <col min="1" max="1" width="28.5703125" customWidth="1"/>
    <col min="2" max="2" width="22.28515625" customWidth="1"/>
    <col min="5" max="5" width="12.5703125" customWidth="1"/>
    <col min="9" max="9" width="19.7109375" customWidth="1"/>
  </cols>
  <sheetData>
    <row r="1" spans="1:26" ht="15.75">
      <c r="A1" s="29" t="s">
        <v>59</v>
      </c>
      <c r="B1" s="29"/>
      <c r="C1" s="29"/>
      <c r="D1" s="29"/>
      <c r="E1" s="29"/>
      <c r="F1" s="29"/>
      <c r="G1" s="29"/>
      <c r="I1" s="53" t="s">
        <v>60</v>
      </c>
      <c r="J1" s="53"/>
      <c r="K1" s="53"/>
      <c r="L1" s="53"/>
      <c r="M1" s="53"/>
      <c r="N1" s="53"/>
      <c r="O1" s="53"/>
      <c r="P1" s="53"/>
      <c r="Q1" s="53"/>
      <c r="R1" s="53"/>
      <c r="S1" s="53"/>
    </row>
    <row r="2" spans="1:26" ht="115.5" customHeight="1">
      <c r="A2" s="22" t="s">
        <v>61</v>
      </c>
      <c r="B2" s="33" t="s">
        <v>62</v>
      </c>
      <c r="C2" s="34"/>
      <c r="D2" s="34"/>
      <c r="E2" s="34"/>
      <c r="F2" s="34"/>
      <c r="G2" s="35"/>
      <c r="I2" s="25" t="s">
        <v>63</v>
      </c>
      <c r="J2" s="54" t="str">
        <f>_xlfn.TEXTJOIN("",TRUE,
"The project is estimated to generate ",
"$",ROUND(B3,2),
" of blue carbon per year.",
_xlfn.IFS(
ISNUMBER(SEARCH("saltmarsh and seagrass",B5))," Trade-off between blue carbon optimization and other environmental benefits such as coastal habitat and associated biodiversity should be considered.",
ISNUMBER(SEARCH("saltmarsh",B5))," Mangrove encroachment on saltmarsh may lower blue carbon estimates and decrease associated biodiversity.",
ISNUMBER(SEARCH("seagrass",B5))," Mangrove are encroaching on seagrass. As seagrass sequesters less carbon than other coastal wetlands this may increase blue carbon storage but comes at the expense of seagrass habitat and associated biodiversity.",
TRUE,""
),IF(COUNTIF(Sheet1!C2:C4,"&gt;0")&gt;=2," Additionally, multiple types of coastal wetlands are present. When connected to external ecosystems they can increase blue carbon storage due to the introduction of outside organic matter into the wetland.",""))</f>
        <v>The project is estimated to generate $32252.31 of blue carbon per year. Mangrove encroachment on saltmarsh may lower blue carbon estimates and decrease associated biodiversity.</v>
      </c>
      <c r="K2" s="54"/>
      <c r="L2" s="54"/>
      <c r="M2" s="54"/>
      <c r="N2" s="54"/>
      <c r="O2" s="54"/>
      <c r="P2" s="54"/>
      <c r="Q2" s="54"/>
      <c r="R2" s="54"/>
      <c r="S2" s="54"/>
    </row>
    <row r="3" spans="1:26" ht="18" customHeight="1">
      <c r="A3" s="3" t="s">
        <v>64</v>
      </c>
      <c r="B3" s="31">
        <f>Sheet1!G5</f>
        <v>32252.312320000001</v>
      </c>
      <c r="C3" s="31"/>
      <c r="D3" s="31"/>
      <c r="E3" s="31"/>
      <c r="F3" s="31"/>
      <c r="G3" s="31"/>
      <c r="I3" s="27" t="s">
        <v>65</v>
      </c>
      <c r="J3" s="54" t="str">
        <f>_xlfn.TEXTJOIN(CHAR(10),TRUE,
    IF(ISNUMBER(SEARCH("Inundation",B7)),
        _xlfn._LONGTEXT("Threat from permanent inundation. Where tidal barriars are present they may help protect the coastline but can degrade existing wetlands. Early establishment of coastal wetlands including reflooding of previous protected areas may help combat rising sea l","evels and protect coastlines from storm surges. However, this process may be costly and reduce existing shoreline area."),
        ""
    ),
    IF(ISNUMBER(SEARCH("Erosion",B7)),
        " Threat from erosion. Mangrove and saltmarsh root systems may help protect the coastline from erosion. Increasing coastal wetland area may help with climate adaptation but can decrease public amenities from beaches or other non-wetland coastal areas.",
        ""
    ),
    IF(ISNUMBER(SEARCH("Flooding",B7)),
        " Threat from flooding. Coastal wetlands can help reduce flood impacts by preventing contaminated runoff from reaching sensitive ecosystems.",
        ""
    )
)</f>
        <v>Threat from permanent inundation. Where tidal barriars are present they may help protect the coastline but can degrade existing wetlands. Early establishment of coastal wetlands including reflooding of previous protected areas may help combat rising sea levels and protect coastlines from storm surges. However, this process may be costly and reduce existing shoreline area.
 Threat from flooding. Coastal wetlands can help reduce flood impacts by preventing contaminated runoff from reaching sensitive ecosystems.</v>
      </c>
      <c r="K3" s="54"/>
      <c r="L3" s="54"/>
      <c r="M3" s="54"/>
      <c r="N3" s="54"/>
      <c r="O3" s="54"/>
      <c r="P3" s="54"/>
      <c r="Q3" s="54"/>
      <c r="R3" s="54"/>
      <c r="S3" s="54"/>
    </row>
    <row r="4" spans="1:26" ht="22.5" customHeight="1">
      <c r="A4" s="18" t="s">
        <v>66</v>
      </c>
      <c r="B4" s="26" t="str">
        <f>_xlfn.TEXTJOIN(", ",TRUE,
IF(Sheet1!B8,"Saltmarsh",""),
IF(Sheet1!B9,"Mangrove",""),
IF(Sheet1!B10,"Seagrass",""))</f>
        <v/>
      </c>
      <c r="C4" s="26"/>
      <c r="D4" s="26"/>
      <c r="E4" s="26"/>
      <c r="F4" s="26"/>
      <c r="G4" s="26"/>
      <c r="I4" s="27"/>
      <c r="J4" s="54"/>
      <c r="K4" s="54"/>
      <c r="L4" s="54"/>
      <c r="M4" s="54"/>
      <c r="N4" s="54"/>
      <c r="O4" s="54"/>
      <c r="P4" s="54"/>
      <c r="Q4" s="54"/>
      <c r="R4" s="54"/>
      <c r="S4" s="54"/>
    </row>
    <row r="5" spans="1:26" ht="20.25" customHeight="1">
      <c r="A5" s="30" t="s">
        <v>67</v>
      </c>
      <c r="B5" s="26" t="str">
        <f>IF(OR(Sheet1!B15,Sheet1!B16),"Mangrove encroachment on "&amp;_xlfn.TEXTJOIN(" and ",TRUE,IF(Sheet1!B15,"Saltmarsh",""),IF(Sheet1!B16,"Seagrass","")),"No mangrove encroachment")</f>
        <v>Mangrove encroachment on Saltmarsh</v>
      </c>
      <c r="C5" s="26"/>
      <c r="D5" s="26"/>
      <c r="E5" s="26"/>
      <c r="F5" s="26"/>
      <c r="G5" s="26"/>
      <c r="I5" s="27"/>
      <c r="J5" s="54"/>
      <c r="K5" s="54"/>
      <c r="L5" s="54"/>
      <c r="M5" s="54"/>
      <c r="N5" s="54"/>
      <c r="O5" s="54"/>
      <c r="P5" s="54"/>
      <c r="Q5" s="54"/>
      <c r="R5" s="54"/>
      <c r="S5" s="54"/>
      <c r="T5" s="12"/>
      <c r="U5" s="12"/>
      <c r="V5" s="12"/>
      <c r="W5" s="12"/>
      <c r="X5" s="12"/>
      <c r="Y5" s="12"/>
      <c r="Z5" s="12"/>
    </row>
    <row r="6" spans="1:26" ht="22.5" customHeight="1">
      <c r="A6" s="30"/>
      <c r="B6" s="26" t="str">
        <f>IF(OR(ISNUMBER(SEARCH("Saltmarsh",B5)),ISNUMBER(SEARCH("Seagrass",B5))),"Check if nutrient runoff or sedimentation upstream encourages mangrove spread.","")</f>
        <v>Check if nutrient runoff or sedimentation upstream encourages mangrove spread.</v>
      </c>
      <c r="C6" s="26"/>
      <c r="D6" s="26"/>
      <c r="E6" s="26"/>
      <c r="F6" s="26"/>
      <c r="G6" s="26"/>
      <c r="I6" s="27"/>
      <c r="J6" s="54"/>
      <c r="K6" s="54"/>
      <c r="L6" s="54"/>
      <c r="M6" s="54"/>
      <c r="N6" s="54"/>
      <c r="O6" s="54"/>
      <c r="P6" s="54"/>
      <c r="Q6" s="54"/>
      <c r="R6" s="54"/>
      <c r="S6" s="54"/>
      <c r="T6" s="12"/>
      <c r="U6" s="12"/>
      <c r="V6" s="12"/>
      <c r="W6" s="12"/>
      <c r="X6" s="12"/>
      <c r="Y6" s="12"/>
      <c r="Z6" s="12"/>
    </row>
    <row r="7" spans="1:26" ht="18.75" customHeight="1">
      <c r="A7" s="18" t="s">
        <v>68</v>
      </c>
      <c r="B7" s="26" t="str">
        <f>_xlfn.TEXTJOIN(", ",TRUE,
IF(Sheet1!B27,"Coastal Erosion",""),
IF(Sheet1!B28,"Catchment Flooding",""),
IF(Sheet1!B29,"Coastal Inundation",""))</f>
        <v>Catchment Flooding, Coastal Inundation</v>
      </c>
      <c r="C7" s="26"/>
      <c r="D7" s="26"/>
      <c r="E7" s="26"/>
      <c r="F7" s="26"/>
      <c r="G7" s="26"/>
      <c r="I7" s="27"/>
      <c r="J7" s="54"/>
      <c r="K7" s="54"/>
      <c r="L7" s="54"/>
      <c r="M7" s="54"/>
      <c r="N7" s="54"/>
      <c r="O7" s="54"/>
      <c r="P7" s="54"/>
      <c r="Q7" s="54"/>
      <c r="R7" s="54"/>
      <c r="S7" s="54"/>
    </row>
    <row r="8" spans="1:26" ht="60" customHeight="1">
      <c r="A8" s="19" t="s">
        <v>69</v>
      </c>
      <c r="B8" s="26" t="str">
        <f>_xlfn.TEXTJOIN(" ",TRUE,
IF(Sheet1!C32&lt;&gt;"","The area "&amp;IF(LOWER(Sheet1!C32)="yes","provides","does not provide")&amp;" wading bird habitat.",""),
IF(Sheet1!C33&lt;&gt;"","It is part of a "&amp;Sheet1!C33&amp;".",""),
IF(Sheet1!C34&lt;&gt;"","Non-wetland natural or green spaces are "&amp;
    IF(ISNUMBER(SEARCH("within a",LOWER(Sheet1!C34))),
        "present "&amp;LOWER(Sheet1!C34),
        "not present"
    )&amp;".",""),
IF(Sheet1!C36&lt;&gt;"","These areas include "&amp;Sheet1!C36&amp;".","")
)</f>
        <v>The area provides wading bird habitat. It is part of a Fragmented Area. Non-wetland natural or green spaces are present within a 1km radius. These areas include Forest, public parks, volcanic hill .</v>
      </c>
      <c r="C8" s="26"/>
      <c r="D8" s="26"/>
      <c r="E8" s="26"/>
      <c r="F8" s="26"/>
      <c r="G8" s="26"/>
      <c r="I8" s="32" t="s">
        <v>70</v>
      </c>
      <c r="J8" s="54" t="str" cm="1">
        <f t="array" ref="J8">_xlfn.LET(
_xlpm.Categories,Sheet1!A52:A61,
_xlpm.Positive,_xlfn.TEXTJOIN(", ",TRUE,_xlfn._xlws.FILTER(_xlpm.Categories,(Sheet1!B52:B61=TRUE)*(Sheet1!C52:C61=FALSE),"")),
_xlpm.Negative,_xlfn.TEXTJOIN(", ",TRUE,_xlfn._xlws.FILTER(_xlpm.Categories,(Sheet1!C52:C61=TRUE)*(Sheet1!B52:B61=FALSE),"")),
_xlpm.Mixed,_xlfn.TEXTJOIN(", ",TRUE,_xlfn._xlws.FILTER(_xlpm.Categories,(Sheet1!B52:B61=TRUE)*(Sheet1!C52:C61=TRUE),"")),
_xlpm.HasPositive,SUM((Sheet1!B52:B61=TRUE)*(Sheet1!C52:C61=FALSE))&gt;0,
_xlpm.HasNegative,SUM((Sheet1!C52:C61=TRUE)*(Sheet1!B52:B61=FALSE))&gt;0,
_xlpm.HasMixed,SUM((Sheet1!B52:B61=TRUE)*(Sheet1!C52:C61=TRUE))&gt;0,
_xlfn.TEXTJOIN(" ",TRUE,
IF(_xlpm.HasPositive,
"Potential benefits to the local community include improved "&amp;_xlpm.Positive&amp;".",
IF(_xlpm.HasMixed,
"",
"There are no identified positive economic impacts.")),
IF(_xlpm.HasNegative,
"Potential adverse impacts may include decreased "&amp;_xlpm.Negative&amp;".",
IF(_xlpm.HasMixed,
"",
"There are no identified negative economic impacts.")),
IF(_xlpm.HasMixed,
"Conservation and restoration projects may have positive and negative effects on the following: "&amp;_xlpm.Mixed&amp;".",
"")
))</f>
        <v>Potential benefits to the local community include improved Public walking trails, Ecotourism. Potential adverse impacts may include decreased Public boat launch access. Conservation and restoration projects may have positive and negative effects on the following: Fisheries, Water-based recreation.</v>
      </c>
      <c r="K8" s="54"/>
      <c r="L8" s="54"/>
      <c r="M8" s="54"/>
      <c r="N8" s="54"/>
      <c r="O8" s="54"/>
      <c r="P8" s="54"/>
      <c r="Q8" s="54"/>
      <c r="R8" s="54"/>
      <c r="S8" s="54"/>
      <c r="U8" s="20"/>
      <c r="V8" s="20"/>
      <c r="W8" s="20"/>
      <c r="X8" s="20"/>
    </row>
    <row r="9" spans="1:26" ht="60" customHeight="1">
      <c r="A9" s="18" t="s">
        <v>71</v>
      </c>
      <c r="B9" s="26" t="str">
        <f>IF(OR(Sheet1!C20,Sheet1!C21),
    _xlfn.TEXTJOIN("",TRUE,
        IF(Sheet1!C20,"Upstream agricultural land",""),".",
        IF(Sheet1!C21,"Potential area of future public work.",""),IF(Sheet1!C22," Existing grey infastructure may decrease efficiency of coastal wetlands.",""),
    ),
    "No impact from surrounding land use"
)</f>
        <v>Upstream agricultural land.</v>
      </c>
      <c r="C9" s="26"/>
      <c r="D9" s="26"/>
      <c r="E9" s="26"/>
      <c r="F9" s="26"/>
      <c r="G9" s="26"/>
      <c r="I9" s="32"/>
      <c r="J9" s="54"/>
      <c r="K9" s="54"/>
      <c r="L9" s="54"/>
      <c r="M9" s="54"/>
      <c r="N9" s="54"/>
      <c r="O9" s="54"/>
      <c r="P9" s="54"/>
      <c r="Q9" s="54"/>
      <c r="R9" s="54"/>
      <c r="S9" s="54"/>
      <c r="U9" s="20"/>
      <c r="V9" s="20"/>
      <c r="W9" s="20"/>
      <c r="X9" s="20"/>
    </row>
    <row r="10" spans="1:26" ht="60" customHeight="1">
      <c r="A10" s="18" t="s">
        <v>72</v>
      </c>
      <c r="B10" s="26" t="str">
        <f>_xlfn.TEXTJOIN("",TRUE,"Median income of ",Sheet1!C40," is $",Sheet1!C43,"."," This is ",IF(Sheet1!C43&gt;44700,_xlfn.TEXTJOIN("",TRUE,"$",SUM(Sheet1!C43,-44700), " above "),IF(Sheet1!C43&lt;44700,_xlfn.TEXTJOIN("",TRUE,SUM(-Sheet1!C43,44700)," below "),"the same as ")),"the median income for the Auckland region.")</f>
        <v>Median income of Māngere-Ōtāhuhu  is $34700. This is 10000 below the median income for the Auckland region.</v>
      </c>
      <c r="C10" s="26"/>
      <c r="D10" s="26"/>
      <c r="E10" s="26"/>
      <c r="F10" s="26"/>
      <c r="G10" s="26"/>
      <c r="I10" s="24" t="s">
        <v>73</v>
      </c>
      <c r="J10" s="54" t="str">
        <f>IF(AND(ISNUMBER(SEARCH("above",B10)),ISNUMBER(SEARCH("above",B11))),"This area has higher than average income and home ownership rates. Existing research shows that NbS may primarily target affluent areas. Consider equitability of project.","This area has lower than average income and home ownership rates.")</f>
        <v>This area has lower than average income and home ownership rates.</v>
      </c>
      <c r="K10" s="54"/>
      <c r="L10" s="54"/>
      <c r="M10" s="54"/>
      <c r="N10" s="54"/>
      <c r="O10" s="54"/>
      <c r="P10" s="54"/>
      <c r="Q10" s="54"/>
      <c r="R10" s="54"/>
      <c r="S10" s="54"/>
      <c r="T10" s="21"/>
      <c r="U10" s="20"/>
      <c r="V10" s="20"/>
      <c r="W10" s="20"/>
      <c r="X10" s="20"/>
    </row>
    <row r="11" spans="1:26" ht="60" customHeight="1">
      <c r="A11" s="18" t="s">
        <v>74</v>
      </c>
      <c r="B11" s="26" t="str">
        <f>"Percent homeownership of "&amp;Sheet1!C40&amp;
" is "&amp;TEXT(Sheet1!C44,"0.0%")&amp;
". This is "&amp;
IF(
    Sheet1!C44&gt;0.595,
    TEXT(Sheet1!C44-0.595,"0.0%")&amp;" above ",
    IF(
        Sheet1!C44&lt;0.595,
        TEXT(0.595-Sheet1!C44,"0.0%")&amp;" below ",
        "the same as "
    )
)&amp;
"the homeownership rate for the Auckland region."</f>
        <v>Percent homeownership of Māngere-Ōtāhuhu  is 40.8%. This is 18.7% below the homeownership rate for the Auckland region.</v>
      </c>
      <c r="C11" s="26"/>
      <c r="D11" s="26"/>
      <c r="E11" s="26"/>
      <c r="F11" s="26"/>
      <c r="G11" s="26"/>
      <c r="I11" s="27" t="s">
        <v>75</v>
      </c>
      <c r="J11" s="54" t="str">
        <f>_xlfn.TEXTJOIN("",TRUE,IF(ISNUMBER(SEARCH("area provides wading bird",B8)),"Presence of wading bird habitat may disrupt conservation and restoration plans.",""),IF(ISNUMBER(SEARCH("fragmented",B8))," Fragmentation of habitat may also disrupt biodiversity goals. Consider if project design can be adaptated to contribute to a wildlife corridor.","")," Designing the project to maximize biodiversity imapct may reduce economic imapcts along with blue carbon storage potential.")</f>
        <v>Presence of wading bird habitat may disrupt conservation and restoration plans. Fragmentation of habitat may also disrupt biodiversity goals. Consider if project design can be adaptated to contribute to a wildlife corridor. Designing the project to maximize biodiversity imapct may reduce economic imapcts along with blue carbon storage potential.</v>
      </c>
      <c r="K11" s="54"/>
      <c r="L11" s="54"/>
      <c r="M11" s="54"/>
      <c r="N11" s="54"/>
      <c r="O11" s="54"/>
      <c r="P11" s="54"/>
      <c r="Q11" s="54"/>
      <c r="R11" s="54"/>
      <c r="S11" s="54"/>
    </row>
    <row r="12" spans="1:26" ht="60" customHeight="1">
      <c r="A12" s="18" t="s">
        <v>76</v>
      </c>
      <c r="B12" s="26" t="str">
        <f>IF(AND(Sheet1!C41,Sheet1!C42),
    "Community support and opposition exist for similar projects",
    IF(Sheet1!C41,"Community opposition to similar projects",
    IF(Sheet1!C42,"Community support for similar projects","No community support or opposition for similar projects"
        )
    )
)</f>
        <v>No community support or opposition for similar projects</v>
      </c>
      <c r="C12" s="26"/>
      <c r="D12" s="26"/>
      <c r="E12" s="26"/>
      <c r="F12" s="26"/>
      <c r="G12" s="26"/>
      <c r="I12" s="27"/>
      <c r="J12" s="54"/>
      <c r="K12" s="54"/>
      <c r="L12" s="54"/>
      <c r="M12" s="54"/>
      <c r="N12" s="54"/>
      <c r="O12" s="54"/>
      <c r="P12" s="54"/>
      <c r="Q12" s="54"/>
      <c r="R12" s="54"/>
      <c r="S12" s="54"/>
    </row>
    <row r="13" spans="1:26" ht="60" customHeight="1">
      <c r="A13" s="18" t="s">
        <v>77</v>
      </c>
      <c r="B13" s="26" t="str">
        <f>_xlfn.TEXTJOIN("",TRUE,IF(Sheet1!C46="Yes","Local communities rely on target area for income. ", "Currently no community economic relience on local area."),IF(AND(Sheet1!C47="Yes",Sheet1!C48="Yes"),"Restoration may enhance and reduce economic opportunities. Analysis of trade-offs is needed.",IF(Sheet1!C47="Yes"," Restoration and conservation have potential to increase economic opportunities for this community.", IF(Sheet1!C48="No "," Restoration and conservation may decrease economic opportunities for this community."," No major economic impacts identified."))))</f>
        <v>Local communities rely on target area for income.  No major economic impacts identified.</v>
      </c>
      <c r="C13" s="26"/>
      <c r="D13" s="26"/>
      <c r="E13" s="26"/>
      <c r="F13" s="26"/>
      <c r="G13" s="26"/>
    </row>
    <row r="14" spans="1:26" ht="60" customHeight="1">
      <c r="A14" s="18" t="s">
        <v>78</v>
      </c>
      <c r="B14" s="26" t="str" cm="1">
        <f t="array" ref="B14">_xlfn.LET(
_xlpm.Result,_xlfn.TEXTJOIN(", ",TRUE,IF(Sheet1!B52,Sheet1!A52,""),IF(Sheet1!B53,Sheet1!A53,""),IF(Sheet1!B54,Sheet1!A54,""),IF(Sheet1!B55,Sheet1!A55,""),IF(Sheet1!B56,Sheet1!A56,""),IF(Sheet1!B57,Sheet1!A57,""),IF(Sheet1!B58,Sheet1!A58,""),IF(Sheet1!B59,Sheet1!A59,""),IF(Sheet1!B60,Sheet1!A60,""),IF(Sheet1!B61,Sheet1!A61,"")),
IF(_xlpm.Result="","No positive impacts identified",_xlpm.Result)
)</f>
        <v>Public walking trails, Ecotourism, Fisheries, Water-based recreation</v>
      </c>
      <c r="C14" s="26"/>
      <c r="D14" s="26"/>
      <c r="E14" s="26"/>
      <c r="F14" s="26"/>
      <c r="G14" s="26"/>
      <c r="H14" s="12"/>
    </row>
    <row r="15" spans="1:26" ht="60" customHeight="1">
      <c r="A15" s="18" t="s">
        <v>79</v>
      </c>
      <c r="B15" s="26" t="str" cm="1">
        <f t="array" ref="B15">_xlfn.LET(
_xlpm.Result,_xlfn.TEXTJOIN(", ",TRUE,IF(Sheet1!C52,Sheet1!A52,""),IF(Sheet1!C53,Sheet1!A53,""),IF(Sheet1!C54,Sheet1!A54,""),IF(Sheet1!C55,Sheet1!A55,""),IF(Sheet1!C56,Sheet1!A56,""),IF(Sheet1!C57,Sheet1!A57,""),IF(Sheet1!C58,Sheet1!A58,""),IF(Sheet1!C59,Sheet1!A59,""),IF(Sheet1!C60,Sheet1!A60,""),IF(Sheet1!C61,Sheet1!A61,"")),
IF(_xlpm.Result="","No negative impacts identified",_xlpm.Result)
)</f>
        <v>Public boat launch access, Fisheries, Water-based recreation</v>
      </c>
      <c r="C15" s="26"/>
      <c r="D15" s="26"/>
      <c r="E15" s="26"/>
      <c r="F15" s="26"/>
      <c r="G15" s="26"/>
      <c r="H15" s="12"/>
      <c r="I15" s="12"/>
      <c r="J15" s="12"/>
      <c r="K15" s="12"/>
      <c r="L15" s="12"/>
    </row>
    <row r="22" spans="6:9">
      <c r="F22" s="64"/>
      <c r="G22" s="64"/>
      <c r="H22" s="64"/>
      <c r="I22" s="65"/>
    </row>
    <row r="23" spans="6:9">
      <c r="F23" s="65"/>
      <c r="G23" s="65"/>
      <c r="H23" s="65"/>
      <c r="I23" s="65"/>
    </row>
  </sheetData>
  <sheetProtection sheet="1" objects="1" scenarios="1"/>
  <mergeCells count="26">
    <mergeCell ref="J2:S2"/>
    <mergeCell ref="J3:S7"/>
    <mergeCell ref="I3:I7"/>
    <mergeCell ref="J8:S9"/>
    <mergeCell ref="J10:S10"/>
    <mergeCell ref="I8:I9"/>
    <mergeCell ref="B2:G2"/>
    <mergeCell ref="B15:G15"/>
    <mergeCell ref="F22:H22"/>
    <mergeCell ref="B7:G7"/>
    <mergeCell ref="B8:G8"/>
    <mergeCell ref="B9:G9"/>
    <mergeCell ref="B10:G10"/>
    <mergeCell ref="B11:G11"/>
    <mergeCell ref="B12:G12"/>
    <mergeCell ref="B13:G13"/>
    <mergeCell ref="J11:S12"/>
    <mergeCell ref="I11:I12"/>
    <mergeCell ref="I1:S1"/>
    <mergeCell ref="B14:G14"/>
    <mergeCell ref="A1:G1"/>
    <mergeCell ref="B6:G6"/>
    <mergeCell ref="B5:G5"/>
    <mergeCell ref="B4:G4"/>
    <mergeCell ref="A5:A6"/>
    <mergeCell ref="B3:G3"/>
  </mergeCells>
  <pageMargins left="0.7" right="0.7" top="0.75" bottom="0.75" header="0.3" footer="0.3"/>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Batycki, Andrew</cp:lastModifiedBy>
  <cp:revision/>
  <dcterms:created xsi:type="dcterms:W3CDTF">2026-06-18T03:49:50Z</dcterms:created>
  <dcterms:modified xsi:type="dcterms:W3CDTF">2026-08-06T02:11:53Z</dcterms:modified>
  <cp:category/>
  <cp:contentStatus/>
</cp:coreProperties>
</file>